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<sst xmlns="http://schemas.openxmlformats.org/spreadsheetml/2006/main" count="159" uniqueCount="113">
  <si>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</si>
  <si>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</si>
  <si>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</si>
  <si>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</si>
  <si>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</si>
  <si>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</si>
  <si>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</si>
  <si>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</si>
  <si>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</si>
  <si>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</si>
  <si>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</si>
  <si>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</si>
  <si>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</si>
  <si>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</si>
  <si>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</si>
  <si>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</si>
  <si>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</si>
  <si>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</si>
  <si>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</si>
  <si>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</si>
  <si>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</si>
  <si>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</si>
  <si>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</si>
  <si>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</si>
  <si>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</si>
  <si>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</si>
  <si>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</si>
  <si>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</si>
  <si>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</si>
  <si>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</si>
  <si>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</si>
  <si>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</si>
  <si>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</si>
  <si>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</si>
  <si>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</si>
  <si>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</si>
  <si>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</si>
  <si>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</si>
  <si>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</si>
  <si>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</si>
  <si>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</si>
  <si>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</si>
  <si>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</si>
  <si>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</si>
  <si>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</si>
  <si>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</si>
  <si>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</si>
  <si>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</si>
  <si>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</si>
  <si>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</si>
  <si>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</si>
  <si>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</si>
  <si>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</si>
  <si>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</si>
  <si>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</si>
  <si>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</si>
  <si>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</si>
  <si>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</si>
  <si>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</si>
  <si>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</si>
  <si>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</si>
  <si>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</si>
  <si>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</si>
  <si>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</si>
  <si>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</si>
  <si>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</si>
  <si>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</si>
  <si>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</si>
  <si>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</si>
  <si>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</si>
  <si>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</si>
  <si>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</si>
  <si>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</si>
  <si>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</si>
  <si>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</si>
  <si>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</si>
  <si>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</si>
  <si>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</si>
  <si>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</si>
  <si>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</si>
  <si>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</si>
  <si>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</si>
  <si>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</si>
  <si>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</si>
  <si>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</si>
  <si>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</si>
  <si>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</si>
  <si>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</si>
  <si>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</si>
  <si>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</si>
  <si>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</si>
  <si>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</si>
  <si>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</si>
  <si>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</si>
  <si>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</si>
  <si>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</si>
  <si>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</si>
  <si>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</si>
  <si>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</si>
  <si>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</si>
  <si>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</si>
  <si>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</si>
  <si>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</si>
  <si>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</si>
  <si>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</si>
  <si>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</si>
  <si>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</si>
  <si>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</si>
  <si>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</si>
  <si>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</si>
  <si>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</si>
  <si>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</si>
  <si>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2014 рік станом на 20.10.2014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</si>
</sst>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33875.100000000006</c:v>
                </c:pt>
                <c:pt idx="1">
                  <c:v>29122.8</c:v>
                </c:pt>
                <c:pt idx="2">
                  <c:v>1195</c:v>
                </c:pt>
                <c:pt idx="3">
                  <c:v>3557.3000000000065</c:v>
                </c:pt>
              </c:numCache>
            </c:numRef>
          </c:val>
          <c:shape val="box"/>
        </c:ser>
        <c:shape val="box"/>
        <c:axId val="44394512"/>
        <c:axId val="64006289"/>
      </c:bar3D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006289"/>
        <c:crosses val="autoZero"/>
        <c:auto val="1"/>
        <c:lblOffset val="100"/>
        <c:tickLblSkip val="1"/>
        <c:noMultiLvlLbl val="0"/>
      </c:catAx>
      <c:valAx>
        <c:axId val="64006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4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218299.51</c:v>
                </c:pt>
                <c:pt idx="1">
                  <c:v>181769.79999999993</c:v>
                </c:pt>
                <c:pt idx="2">
                  <c:v>20</c:v>
                </c:pt>
                <c:pt idx="3">
                  <c:v>12768.900000000001</c:v>
                </c:pt>
                <c:pt idx="4">
                  <c:v>22201.699999999997</c:v>
                </c:pt>
                <c:pt idx="5">
                  <c:v>186.9</c:v>
                </c:pt>
                <c:pt idx="6">
                  <c:v>1352.2100000000805</c:v>
                </c:pt>
              </c:numCache>
            </c:numRef>
          </c:val>
          <c:shape val="box"/>
        </c:ser>
        <c:shape val="box"/>
        <c:axId val="39185690"/>
        <c:axId val="17126891"/>
      </c:bar3D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26891"/>
        <c:crosses val="autoZero"/>
        <c:auto val="1"/>
        <c:lblOffset val="100"/>
        <c:tickLblSkip val="1"/>
        <c:noMultiLvlLbl val="0"/>
      </c:catAx>
      <c:valAx>
        <c:axId val="17126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856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151755.70000000004</c:v>
                </c:pt>
                <c:pt idx="1">
                  <c:v>123103.59999999999</c:v>
                </c:pt>
                <c:pt idx="2">
                  <c:v>4240.899999999999</c:v>
                </c:pt>
                <c:pt idx="3">
                  <c:v>2195.7</c:v>
                </c:pt>
                <c:pt idx="4">
                  <c:v>11374.099999999997</c:v>
                </c:pt>
                <c:pt idx="5">
                  <c:v>1160.3999999999999</c:v>
                </c:pt>
                <c:pt idx="6">
                  <c:v>9681.000000000055</c:v>
                </c:pt>
              </c:numCache>
            </c:numRef>
          </c:val>
          <c:shape val="box"/>
        </c:ser>
        <c:shape val="box"/>
        <c:axId val="19924292"/>
        <c:axId val="45100901"/>
      </c:bar3D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00901"/>
        <c:crosses val="autoZero"/>
        <c:auto val="1"/>
        <c:lblOffset val="100"/>
        <c:tickLblSkip val="1"/>
        <c:noMultiLvlLbl val="0"/>
      </c:catAx>
      <c:valAx>
        <c:axId val="45100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242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28856.499999999993</c:v>
                </c:pt>
                <c:pt idx="1">
                  <c:v>22260.9</c:v>
                </c:pt>
                <c:pt idx="2">
                  <c:v>725.1999999999997</c:v>
                </c:pt>
                <c:pt idx="3">
                  <c:v>337.9</c:v>
                </c:pt>
                <c:pt idx="4">
                  <c:v>18</c:v>
                </c:pt>
                <c:pt idx="5">
                  <c:v>5514.499999999992</c:v>
                </c:pt>
              </c:numCache>
            </c:numRef>
          </c:val>
          <c:shape val="box"/>
        </c:ser>
        <c:shape val="box"/>
        <c:axId val="3254926"/>
        <c:axId val="29294335"/>
      </c:bar3D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94335"/>
        <c:crosses val="autoZero"/>
        <c:auto val="1"/>
        <c:lblOffset val="100"/>
        <c:tickLblSkip val="1"/>
        <c:noMultiLvlLbl val="0"/>
      </c:catAx>
      <c:valAx>
        <c:axId val="29294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9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8917.600000000002</c:v>
                </c:pt>
                <c:pt idx="1">
                  <c:v>5919.699999999999</c:v>
                </c:pt>
                <c:pt idx="2">
                  <c:v>2.1</c:v>
                </c:pt>
                <c:pt idx="3">
                  <c:v>123.50000000000001</c:v>
                </c:pt>
                <c:pt idx="4">
                  <c:v>250.19999999999987</c:v>
                </c:pt>
                <c:pt idx="5">
                  <c:v>2622.1000000000035</c:v>
                </c:pt>
              </c:numCache>
            </c:numRef>
          </c:val>
          <c:shape val="box"/>
        </c:ser>
        <c:shape val="box"/>
        <c:axId val="62322424"/>
        <c:axId val="24030905"/>
      </c:bar3D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30905"/>
        <c:crosses val="autoZero"/>
        <c:auto val="1"/>
        <c:lblOffset val="100"/>
        <c:tickLblSkip val="2"/>
        <c:noMultiLvlLbl val="0"/>
      </c:catAx>
      <c:valAx>
        <c:axId val="24030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2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2604.2000000000003</c:v>
                </c:pt>
                <c:pt idx="1">
                  <c:v>1473.7</c:v>
                </c:pt>
                <c:pt idx="2">
                  <c:v>181.4</c:v>
                </c:pt>
                <c:pt idx="3">
                  <c:v>130.50000000000003</c:v>
                </c:pt>
                <c:pt idx="4">
                  <c:v>728.3000000000001</c:v>
                </c:pt>
                <c:pt idx="5">
                  <c:v>90.30000000000015</c:v>
                </c:pt>
              </c:numCache>
            </c:numRef>
          </c:val>
          <c:shape val="box"/>
        </c:ser>
        <c:shape val="box"/>
        <c:axId val="14951554"/>
        <c:axId val="346259"/>
      </c:bar3D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259"/>
        <c:crosses val="autoZero"/>
        <c:auto val="1"/>
        <c:lblOffset val="100"/>
        <c:tickLblSkip val="1"/>
        <c:noMultiLvlLbl val="0"/>
      </c:catAx>
      <c:valAx>
        <c:axId val="346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15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28072.400000000005</c:v>
                </c:pt>
              </c:numCache>
            </c:numRef>
          </c:val>
          <c:shape val="box"/>
        </c:ser>
        <c:shape val="box"/>
        <c:axId val="3116332"/>
        <c:axId val="28046989"/>
      </c:bar3DChart>
      <c:cat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046989"/>
        <c:crosses val="autoZero"/>
        <c:auto val="1"/>
        <c:lblOffset val="100"/>
        <c:tickLblSkip val="1"/>
        <c:noMultiLvlLbl val="0"/>
      </c:catAx>
      <c:valAx>
        <c:axId val="28046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218299.51</c:v>
                </c:pt>
                <c:pt idx="1">
                  <c:v>151755.70000000004</c:v>
                </c:pt>
                <c:pt idx="2">
                  <c:v>28856.499999999993</c:v>
                </c:pt>
                <c:pt idx="3">
                  <c:v>8917.600000000002</c:v>
                </c:pt>
                <c:pt idx="4">
                  <c:v>2604.2000000000003</c:v>
                </c:pt>
                <c:pt idx="5">
                  <c:v>33875.100000000006</c:v>
                </c:pt>
                <c:pt idx="6">
                  <c:v>28072.400000000005</c:v>
                </c:pt>
              </c:numCache>
            </c:numRef>
          </c:val>
          <c:shape val="box"/>
        </c:ser>
        <c:shape val="box"/>
        <c:axId val="51096310"/>
        <c:axId val="57213607"/>
      </c:bar3D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13607"/>
        <c:crosses val="autoZero"/>
        <c:auto val="1"/>
        <c:lblOffset val="100"/>
        <c:tickLblSkip val="1"/>
        <c:noMultiLvlLbl val="0"/>
      </c:catAx>
      <c:valAx>
        <c:axId val="57213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963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430976.7</c:v>
                </c:pt>
                <c:pt idx="1">
                  <c:v>64495.399999999994</c:v>
                </c:pt>
                <c:pt idx="2">
                  <c:v>20516.600000000002</c:v>
                </c:pt>
                <c:pt idx="3">
                  <c:v>8131</c:v>
                </c:pt>
                <c:pt idx="4">
                  <c:v>7943.900000000001</c:v>
                </c:pt>
                <c:pt idx="5">
                  <c:v>92096.20000000004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368463.49999999994</c:v>
                </c:pt>
                <c:pt idx="1">
                  <c:v>36440.099999999984</c:v>
                </c:pt>
                <c:pt idx="2">
                  <c:v>15317.000000000004</c:v>
                </c:pt>
                <c:pt idx="3">
                  <c:v>6320.800000000001</c:v>
                </c:pt>
                <c:pt idx="4">
                  <c:v>4263.999999999999</c:v>
                </c:pt>
                <c:pt idx="5">
                  <c:v>61739.810000000216</c:v>
                </c:pt>
              </c:numCache>
            </c:numRef>
          </c:val>
          <c:shape val="box"/>
        </c:ser>
        <c:shape val="box"/>
        <c:axId val="45160416"/>
        <c:axId val="3790561"/>
      </c:bar3D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04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233765.2+99</f>
        <v>233864.2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</f>
        <v>218589.91</v>
      </c>
      <c r="E6" s="3">
        <f>D6/D137*100</f>
        <v>44.318299065455044</v>
      </c>
      <c r="F6" s="3">
        <f>D6/B6*100</f>
        <v>93.46873527457387</v>
      </c>
      <c r="G6" s="3">
        <f aca="true" t="shared" si="0" ref="G6:G41">D6/C6*100</f>
        <v>79.41859345576569</v>
      </c>
      <c r="H6" s="3">
        <f>B6-D6</f>
        <v>15274.290000000008</v>
      </c>
      <c r="I6" s="3">
        <f aca="true" t="shared" si="1" ref="I6:I41">C6-D6</f>
        <v>56647.79000000001</v>
      </c>
    </row>
    <row r="7" spans="1:9" ht="18">
      <c r="A7" s="29" t="s">
        <v>3</v>
      </c>
      <c r="B7" s="49">
        <f>191676+99</f>
        <v>191775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</f>
        <v>181773.79999999993</v>
      </c>
      <c r="E7" s="1">
        <f>D7/D6*100</f>
        <v>83.15745223555832</v>
      </c>
      <c r="F7" s="1">
        <f>D7/B7*100</f>
        <v>94.78493025681132</v>
      </c>
      <c r="G7" s="1">
        <f t="shared" si="0"/>
        <v>84.11088504530747</v>
      </c>
      <c r="H7" s="1">
        <f>B7-D7</f>
        <v>10001.20000000007</v>
      </c>
      <c r="I7" s="1">
        <f t="shared" si="1"/>
        <v>34338.300000000076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</f>
        <v>21.6</v>
      </c>
      <c r="E8" s="12">
        <f>D8/D6*100</f>
        <v>0.009881517403982645</v>
      </c>
      <c r="F8" s="1">
        <f>D8/B8*100</f>
        <v>48.4304932735426</v>
      </c>
      <c r="G8" s="1">
        <f t="shared" si="0"/>
        <v>48.4304932735426</v>
      </c>
      <c r="H8" s="1">
        <f aca="true" t="shared" si="2" ref="H8:H41">B8-D8</f>
        <v>23</v>
      </c>
      <c r="I8" s="1">
        <f t="shared" si="1"/>
        <v>23</v>
      </c>
    </row>
    <row r="9" spans="1:9" ht="18">
      <c r="A9" s="29" t="s">
        <v>1</v>
      </c>
      <c r="B9" s="49">
        <v>13670.2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</f>
        <v>12950.300000000001</v>
      </c>
      <c r="E9" s="1">
        <f>D9/D6*100</f>
        <v>5.924472909110947</v>
      </c>
      <c r="F9" s="1">
        <f aca="true" t="shared" si="3" ref="F9:F39">D9/B9*100</f>
        <v>94.73380052961917</v>
      </c>
      <c r="G9" s="1">
        <f t="shared" si="0"/>
        <v>75.71636546478247</v>
      </c>
      <c r="H9" s="1">
        <f t="shared" si="2"/>
        <v>719.8999999999996</v>
      </c>
      <c r="I9" s="1">
        <f t="shared" si="1"/>
        <v>4153.4</v>
      </c>
    </row>
    <row r="10" spans="1:9" ht="18">
      <c r="A10" s="29" t="s">
        <v>0</v>
      </c>
      <c r="B10" s="49">
        <v>26051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</f>
        <v>22249.899999999998</v>
      </c>
      <c r="E10" s="1">
        <f>D10/D6*100</f>
        <v>10.178832133651547</v>
      </c>
      <c r="F10" s="1">
        <f t="shared" si="3"/>
        <v>85.40900541246017</v>
      </c>
      <c r="G10" s="1">
        <f t="shared" si="0"/>
        <v>56.4066877083571</v>
      </c>
      <c r="H10" s="1">
        <f t="shared" si="2"/>
        <v>3801.100000000002</v>
      </c>
      <c r="I10" s="1">
        <f t="shared" si="1"/>
        <v>17195.600000000002</v>
      </c>
    </row>
    <row r="11" spans="1:9" ht="18">
      <c r="A11" s="29" t="s">
        <v>15</v>
      </c>
      <c r="B11" s="49">
        <v>231.1</v>
      </c>
      <c r="C11" s="50">
        <f>281.8-31.7</f>
        <v>250.10000000000002</v>
      </c>
      <c r="D11" s="51">
        <f>4+4+12.7+4+4+14.5+4+115.8+4+14.4+5.4+0.1</f>
        <v>186.9</v>
      </c>
      <c r="E11" s="1">
        <f>D11/D6*100</f>
        <v>0.08550257420390538</v>
      </c>
      <c r="F11" s="1">
        <f t="shared" si="3"/>
        <v>80.87408048463868</v>
      </c>
      <c r="G11" s="1">
        <f t="shared" si="0"/>
        <v>74.73010795681728</v>
      </c>
      <c r="H11" s="1">
        <f t="shared" si="2"/>
        <v>44.19999999999999</v>
      </c>
      <c r="I11" s="1">
        <f t="shared" si="1"/>
        <v>63.20000000000002</v>
      </c>
    </row>
    <row r="12" spans="1:9" ht="18.75" thickBot="1">
      <c r="A12" s="29" t="s">
        <v>35</v>
      </c>
      <c r="B12" s="50">
        <f>B6-B7-B8-B9-B10-B11</f>
        <v>2092.3000000000125</v>
      </c>
      <c r="C12" s="50">
        <f>C6-C7-C8-C9-C10-C11</f>
        <v>2281.700000000003</v>
      </c>
      <c r="D12" s="50">
        <f>D6-D7-D8-D9-D10-D11</f>
        <v>1407.410000000074</v>
      </c>
      <c r="E12" s="1">
        <f>D12/D6*100</f>
        <v>0.6438586300712937</v>
      </c>
      <c r="F12" s="1">
        <f t="shared" si="3"/>
        <v>67.26616641973263</v>
      </c>
      <c r="G12" s="1">
        <f t="shared" si="0"/>
        <v>61.68251742122418</v>
      </c>
      <c r="H12" s="1">
        <f t="shared" si="2"/>
        <v>684.8899999999385</v>
      </c>
      <c r="I12" s="1">
        <f t="shared" si="1"/>
        <v>874.289999999929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f>159644.3+739.4+4754.8</f>
        <v>165138.49999999997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</f>
        <v>151860.80000000005</v>
      </c>
      <c r="E17" s="3">
        <f>D17/D137*100</f>
        <v>30.789217813023743</v>
      </c>
      <c r="F17" s="3">
        <f>D17/B17*100</f>
        <v>91.95965810516631</v>
      </c>
      <c r="G17" s="3">
        <f t="shared" si="0"/>
        <v>85.07269458749822</v>
      </c>
      <c r="H17" s="3">
        <f>B17-D17</f>
        <v>13277.699999999924</v>
      </c>
      <c r="I17" s="3">
        <f t="shared" si="1"/>
        <v>26646.29999999996</v>
      </c>
    </row>
    <row r="18" spans="1:9" ht="18">
      <c r="A18" s="29" t="s">
        <v>5</v>
      </c>
      <c r="B18" s="49">
        <f>124367.5+739.4+4641.9</f>
        <v>129748.79999999999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</f>
        <v>123103.59999999999</v>
      </c>
      <c r="E18" s="1">
        <f>D18/D17*100</f>
        <v>81.06344757830853</v>
      </c>
      <c r="F18" s="1">
        <f t="shared" si="3"/>
        <v>94.87841120688593</v>
      </c>
      <c r="G18" s="1">
        <f t="shared" si="0"/>
        <v>91.77049251208972</v>
      </c>
      <c r="H18" s="1">
        <f t="shared" si="2"/>
        <v>6645.199999999997</v>
      </c>
      <c r="I18" s="1">
        <f t="shared" si="1"/>
        <v>11039.300000000003</v>
      </c>
    </row>
    <row r="19" spans="1:9" ht="18">
      <c r="A19" s="29" t="s">
        <v>2</v>
      </c>
      <c r="B19" s="49">
        <v>6566.5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</f>
        <v>4240.899999999999</v>
      </c>
      <c r="E19" s="1">
        <f>D19/D17*100</f>
        <v>2.7926232444449113</v>
      </c>
      <c r="F19" s="1">
        <f t="shared" si="3"/>
        <v>64.58387268712403</v>
      </c>
      <c r="G19" s="1">
        <f t="shared" si="0"/>
        <v>54.24116849563859</v>
      </c>
      <c r="H19" s="1">
        <f t="shared" si="2"/>
        <v>2325.6000000000013</v>
      </c>
      <c r="I19" s="1">
        <f t="shared" si="1"/>
        <v>3577.7000000000016</v>
      </c>
    </row>
    <row r="20" spans="1:9" ht="18">
      <c r="A20" s="29" t="s">
        <v>1</v>
      </c>
      <c r="B20" s="49">
        <v>2418.1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</f>
        <v>2195.7</v>
      </c>
      <c r="E20" s="1">
        <f>D20/D17*100</f>
        <v>1.4458635803314608</v>
      </c>
      <c r="F20" s="1">
        <f t="shared" si="3"/>
        <v>90.80269633183077</v>
      </c>
      <c r="G20" s="1">
        <f t="shared" si="0"/>
        <v>77.40604949587534</v>
      </c>
      <c r="H20" s="1">
        <f t="shared" si="2"/>
        <v>222.4000000000001</v>
      </c>
      <c r="I20" s="1">
        <f t="shared" si="1"/>
        <v>640.9000000000001</v>
      </c>
    </row>
    <row r="21" spans="1:9" ht="18">
      <c r="A21" s="29" t="s">
        <v>0</v>
      </c>
      <c r="B21" s="49">
        <v>13420.3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</f>
        <v>11374.099999999997</v>
      </c>
      <c r="E21" s="1">
        <f>D21/D17*100</f>
        <v>7.4898196242875015</v>
      </c>
      <c r="F21" s="1">
        <f t="shared" si="3"/>
        <v>84.75294889085934</v>
      </c>
      <c r="G21" s="1">
        <f t="shared" si="0"/>
        <v>58.76994460978835</v>
      </c>
      <c r="H21" s="1">
        <f t="shared" si="2"/>
        <v>2046.2000000000025</v>
      </c>
      <c r="I21" s="1">
        <f t="shared" si="1"/>
        <v>7979.500000000002</v>
      </c>
    </row>
    <row r="22" spans="1:9" ht="18">
      <c r="A22" s="29" t="s">
        <v>15</v>
      </c>
      <c r="B22" s="49">
        <v>1201.4</v>
      </c>
      <c r="C22" s="50">
        <f>1388.5-4+10.9</f>
        <v>1395.4</v>
      </c>
      <c r="D22" s="51">
        <f>14.2+80.1+19.7+105+3.5+1.3+30+84.1+0.1+72.2+54.8+15.1+59.3+59.3+8.9+52.2+1.2+36.9+21.6+108.1+114.2+52.3+53.9+3.6+52.3+56.5</f>
        <v>1160.3999999999999</v>
      </c>
      <c r="E22" s="1">
        <f>D22/D17*100</f>
        <v>0.7641208264410562</v>
      </c>
      <c r="F22" s="1">
        <f t="shared" si="3"/>
        <v>96.58731479940069</v>
      </c>
      <c r="G22" s="1">
        <f t="shared" si="0"/>
        <v>83.15895083846924</v>
      </c>
      <c r="H22" s="1">
        <f t="shared" si="2"/>
        <v>41.00000000000023</v>
      </c>
      <c r="I22" s="1">
        <f t="shared" si="1"/>
        <v>235.00000000000023</v>
      </c>
    </row>
    <row r="23" spans="1:9" ht="18.75" thickBot="1">
      <c r="A23" s="29" t="s">
        <v>35</v>
      </c>
      <c r="B23" s="50">
        <f>B17-B18-B19-B20-B21-B22</f>
        <v>11783.399999999985</v>
      </c>
      <c r="C23" s="50">
        <f>C17-C18-C19-C20-C21-C22</f>
        <v>12960.000000000016</v>
      </c>
      <c r="D23" s="50">
        <f>D17-D18-D19-D20-D21-D22</f>
        <v>9786.10000000006</v>
      </c>
      <c r="E23" s="1">
        <f>D23/D17*100</f>
        <v>6.444125146186545</v>
      </c>
      <c r="F23" s="1">
        <f t="shared" si="3"/>
        <v>83.04988373474612</v>
      </c>
      <c r="G23" s="1">
        <f t="shared" si="0"/>
        <v>75.5100308641979</v>
      </c>
      <c r="H23" s="1">
        <f t="shared" si="2"/>
        <v>1997.2999999999247</v>
      </c>
      <c r="I23" s="1">
        <f t="shared" si="1"/>
        <v>3173.899999999956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f>32175.3-361.4</f>
        <v>31813.899999999998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</f>
        <v>28920.999999999993</v>
      </c>
      <c r="E31" s="3">
        <f>D31/D137*100</f>
        <v>5.863626218026371</v>
      </c>
      <c r="F31" s="3">
        <f>D31/B31*100</f>
        <v>90.90680488717194</v>
      </c>
      <c r="G31" s="3">
        <f t="shared" si="0"/>
        <v>78.74952689290487</v>
      </c>
      <c r="H31" s="3">
        <f t="shared" si="2"/>
        <v>2892.900000000005</v>
      </c>
      <c r="I31" s="3">
        <f t="shared" si="1"/>
        <v>7804.30000000001</v>
      </c>
    </row>
    <row r="32" spans="1:9" ht="18">
      <c r="A32" s="29" t="s">
        <v>3</v>
      </c>
      <c r="B32" s="49">
        <f>24397.2+42.9-63.4</f>
        <v>24376.7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</f>
        <v>22260.9</v>
      </c>
      <c r="E32" s="1">
        <f>D32/D31*100</f>
        <v>76.97140486151933</v>
      </c>
      <c r="F32" s="1">
        <f t="shared" si="3"/>
        <v>91.32040021824119</v>
      </c>
      <c r="G32" s="1">
        <f t="shared" si="0"/>
        <v>79.69562228809555</v>
      </c>
      <c r="H32" s="1">
        <f t="shared" si="2"/>
        <v>2115.7999999999993</v>
      </c>
      <c r="I32" s="1">
        <f t="shared" si="1"/>
        <v>5671.5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1211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</f>
        <v>725.1999999999997</v>
      </c>
      <c r="E34" s="1">
        <f>D34/D31*100</f>
        <v>2.5075204868434695</v>
      </c>
      <c r="F34" s="1">
        <f t="shared" si="3"/>
        <v>59.884393063583786</v>
      </c>
      <c r="G34" s="1">
        <f t="shared" si="0"/>
        <v>41.793453204241565</v>
      </c>
      <c r="H34" s="1">
        <f t="shared" si="2"/>
        <v>485.8000000000003</v>
      </c>
      <c r="I34" s="1">
        <f t="shared" si="1"/>
        <v>1010.0000000000003</v>
      </c>
    </row>
    <row r="35" spans="1:9" s="44" customFormat="1" ht="18.75">
      <c r="A35" s="23" t="s">
        <v>7</v>
      </c>
      <c r="B35" s="58">
        <f>576.6-184</f>
        <v>392.6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1.237509076449639</v>
      </c>
      <c r="F35" s="19">
        <f t="shared" si="3"/>
        <v>91.1614875191034</v>
      </c>
      <c r="G35" s="19">
        <f t="shared" si="0"/>
        <v>82.03071281228513</v>
      </c>
      <c r="H35" s="19">
        <f t="shared" si="2"/>
        <v>34.700000000000045</v>
      </c>
      <c r="I35" s="19">
        <f t="shared" si="1"/>
        <v>78.39999999999998</v>
      </c>
    </row>
    <row r="36" spans="1:9" ht="18">
      <c r="A36" s="29" t="s">
        <v>15</v>
      </c>
      <c r="B36" s="49">
        <f>20.4+1</f>
        <v>21.4</v>
      </c>
      <c r="C36" s="50">
        <f>45.2-20+3</f>
        <v>28.200000000000003</v>
      </c>
      <c r="D36" s="50">
        <f>3.6+3.6+7.2+3.6</f>
        <v>18</v>
      </c>
      <c r="E36" s="1">
        <f>D36/D31*100</f>
        <v>0.062238511808028786</v>
      </c>
      <c r="F36" s="1">
        <f t="shared" si="3"/>
        <v>84.11214953271029</v>
      </c>
      <c r="G36" s="1">
        <f t="shared" si="0"/>
        <v>63.82978723404255</v>
      </c>
      <c r="H36" s="1">
        <f t="shared" si="2"/>
        <v>3.3999999999999986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5812.199999999997</v>
      </c>
      <c r="C37" s="49">
        <f>C31-C32-C34-C35-C33-C36</f>
        <v>6593.200000000002</v>
      </c>
      <c r="D37" s="49">
        <f>D31-D32-D34-D35-D33-D36</f>
        <v>5558.999999999992</v>
      </c>
      <c r="E37" s="1">
        <f>D37/D31*100</f>
        <v>19.22132706337953</v>
      </c>
      <c r="F37" s="1">
        <f t="shared" si="3"/>
        <v>95.6436461236708</v>
      </c>
      <c r="G37" s="1">
        <f t="shared" si="0"/>
        <v>84.31414184311093</v>
      </c>
      <c r="H37" s="1">
        <f>B37-D37</f>
        <v>253.20000000000528</v>
      </c>
      <c r="I37" s="1">
        <f t="shared" si="1"/>
        <v>1034.2000000000098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763.9</v>
      </c>
      <c r="C41" s="53">
        <f>1079.9+40.7-300</f>
        <v>820.6000000000001</v>
      </c>
      <c r="D41" s="54">
        <f>39.9+10-0.1+63.8+32.1+23.9+51.2+20.3+38.8+26.2+1.3+95+24+3.6+45.4+22.4</f>
        <v>497.8</v>
      </c>
      <c r="E41" s="3">
        <f>D41/D137*100</f>
        <v>0.10092711632839557</v>
      </c>
      <c r="F41" s="3">
        <f>D41/B41*100</f>
        <v>65.16559759130777</v>
      </c>
      <c r="G41" s="3">
        <f t="shared" si="0"/>
        <v>60.66292956373385</v>
      </c>
      <c r="H41" s="3">
        <f t="shared" si="2"/>
        <v>266.09999999999997</v>
      </c>
      <c r="I41" s="3">
        <f t="shared" si="1"/>
        <v>322.8000000000001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5050.9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</f>
        <v>4512.7</v>
      </c>
      <c r="E43" s="3">
        <f>D43/D137*100</f>
        <v>0.9149333022401581</v>
      </c>
      <c r="F43" s="3">
        <f>D43/B43*100</f>
        <v>89.3444732621909</v>
      </c>
      <c r="G43" s="3">
        <f aca="true" t="shared" si="4" ref="G43:G73">D43/C43*100</f>
        <v>73.91567843805281</v>
      </c>
      <c r="H43" s="3">
        <f>B43-D43</f>
        <v>538.1999999999998</v>
      </c>
      <c r="I43" s="3">
        <f aca="true" t="shared" si="5" ref="I43:I74">C43-D43</f>
        <v>1592.5</v>
      </c>
    </row>
    <row r="44" spans="1:9" ht="18">
      <c r="A44" s="29" t="s">
        <v>3</v>
      </c>
      <c r="B44" s="49">
        <v>4466.6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</f>
        <v>4109.799999999999</v>
      </c>
      <c r="E44" s="1">
        <f>D44/D43*100</f>
        <v>91.07186385090964</v>
      </c>
      <c r="F44" s="1">
        <f aca="true" t="shared" si="6" ref="F44:F71">D44/B44*100</f>
        <v>92.01182107195628</v>
      </c>
      <c r="G44" s="1">
        <f t="shared" si="4"/>
        <v>76.68395715938348</v>
      </c>
      <c r="H44" s="1">
        <f aca="true" t="shared" si="7" ref="H44:H71">B44-D44</f>
        <v>356.8000000000011</v>
      </c>
      <c r="I44" s="1">
        <f t="shared" si="5"/>
        <v>1249.6000000000013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0.02215968267334412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30.6</v>
      </c>
      <c r="C46" s="50">
        <f>35.1+9.9</f>
        <v>45</v>
      </c>
      <c r="D46" s="51">
        <f>3.2+3.4-0.1+3.7+3.6+3.5+3.2+5.6</f>
        <v>26.099999999999994</v>
      </c>
      <c r="E46" s="1">
        <f>D46/D43*100</f>
        <v>0.5783677177742813</v>
      </c>
      <c r="F46" s="1">
        <f t="shared" si="6"/>
        <v>85.2941176470588</v>
      </c>
      <c r="G46" s="1">
        <f t="shared" si="4"/>
        <v>57.999999999999986</v>
      </c>
      <c r="H46" s="1">
        <f t="shared" si="7"/>
        <v>4.500000000000007</v>
      </c>
      <c r="I46" s="1">
        <f t="shared" si="5"/>
        <v>18.900000000000006</v>
      </c>
    </row>
    <row r="47" spans="1:9" ht="18">
      <c r="A47" s="29" t="s">
        <v>0</v>
      </c>
      <c r="B47" s="49">
        <v>271.7</v>
      </c>
      <c r="C47" s="50">
        <f>358+23.1+0.1</f>
        <v>381.20000000000005</v>
      </c>
      <c r="D47" s="51">
        <f>23.1+2.7+0.5+0.4+5.2+0.6+99.9+12.6+20.5-0.1+2+19.6+1.1+0.5+4.4+0.4+3.4+4+2.3+0.3+1.3+0.1+0.3</f>
        <v>205.10000000000005</v>
      </c>
      <c r="E47" s="1">
        <f>D47/D43*100</f>
        <v>4.54495091630288</v>
      </c>
      <c r="F47" s="1">
        <f t="shared" si="6"/>
        <v>75.48767022451234</v>
      </c>
      <c r="G47" s="1">
        <f t="shared" si="4"/>
        <v>53.803777544596024</v>
      </c>
      <c r="H47" s="1">
        <f t="shared" si="7"/>
        <v>66.59999999999994</v>
      </c>
      <c r="I47" s="1">
        <f t="shared" si="5"/>
        <v>176.1</v>
      </c>
    </row>
    <row r="48" spans="1:9" ht="18.75" thickBot="1">
      <c r="A48" s="29" t="s">
        <v>35</v>
      </c>
      <c r="B48" s="50">
        <f>B43-B44-B47-B46-B45</f>
        <v>280.99999999999926</v>
      </c>
      <c r="C48" s="50">
        <f>C43-C44-C47-C46-C45</f>
        <v>318.5999999999992</v>
      </c>
      <c r="D48" s="50">
        <f>D43-D44-D47-D46-D45</f>
        <v>170.7000000000005</v>
      </c>
      <c r="E48" s="1">
        <f>D48/D43*100</f>
        <v>3.782657832339852</v>
      </c>
      <c r="F48" s="1">
        <f t="shared" si="6"/>
        <v>60.74733096085443</v>
      </c>
      <c r="G48" s="1">
        <f t="shared" si="4"/>
        <v>53.57815442561233</v>
      </c>
      <c r="H48" s="1">
        <f t="shared" si="7"/>
        <v>110.29999999999876</v>
      </c>
      <c r="I48" s="1">
        <f t="shared" si="5"/>
        <v>147.89999999999873</v>
      </c>
    </row>
    <row r="49" spans="1:9" ht="18.75" thickBot="1">
      <c r="A49" s="28" t="s">
        <v>4</v>
      </c>
      <c r="B49" s="52">
        <v>9970.3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</f>
        <v>8947.300000000003</v>
      </c>
      <c r="E49" s="3">
        <f>D49/D137*100</f>
        <v>1.8140321171656366</v>
      </c>
      <c r="F49" s="3">
        <f>D49/B49*100</f>
        <v>89.7395263933884</v>
      </c>
      <c r="G49" s="3">
        <f t="shared" si="4"/>
        <v>73.69977430355351</v>
      </c>
      <c r="H49" s="3">
        <f>B49-D49</f>
        <v>1022.9999999999964</v>
      </c>
      <c r="I49" s="3">
        <f t="shared" si="5"/>
        <v>3192.899999999996</v>
      </c>
    </row>
    <row r="50" spans="1:9" ht="18">
      <c r="A50" s="29" t="s">
        <v>3</v>
      </c>
      <c r="B50" s="49">
        <v>6254.1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282.8+343.5+279.8+360.5+269.9+364.8-0.1+7.2+231.6+28.9+358.6+269.6+381.2-0.1+7.2+297.2+563.3+0.1+313.9+22.4+240.9+0.1+181.6+201.2+250.5+390.2-0.1+273</f>
        <v>5919.699999999999</v>
      </c>
      <c r="E50" s="1">
        <f>D50/D49*100</f>
        <v>66.16185888480321</v>
      </c>
      <c r="F50" s="1">
        <f t="shared" si="6"/>
        <v>94.65310756143967</v>
      </c>
      <c r="G50" s="1">
        <f t="shared" si="4"/>
        <v>79.01255989642422</v>
      </c>
      <c r="H50" s="1">
        <f t="shared" si="7"/>
        <v>334.40000000000146</v>
      </c>
      <c r="I50" s="1">
        <f t="shared" si="5"/>
        <v>1572.4000000000015</v>
      </c>
    </row>
    <row r="51" spans="1:9" ht="18">
      <c r="A51" s="29" t="s">
        <v>2</v>
      </c>
      <c r="B51" s="49">
        <v>6.5</v>
      </c>
      <c r="C51" s="50">
        <v>9.7</v>
      </c>
      <c r="D51" s="51">
        <f>0.5+0.8+0.8</f>
        <v>2.1</v>
      </c>
      <c r="E51" s="12">
        <f>D51/D49*100</f>
        <v>0.02347076771763548</v>
      </c>
      <c r="F51" s="1">
        <f t="shared" si="6"/>
        <v>32.30769230769231</v>
      </c>
      <c r="G51" s="1">
        <f t="shared" si="4"/>
        <v>21.64948453608248</v>
      </c>
      <c r="H51" s="1">
        <f t="shared" si="7"/>
        <v>4.4</v>
      </c>
      <c r="I51" s="1">
        <f t="shared" si="5"/>
        <v>7.6</v>
      </c>
    </row>
    <row r="52" spans="1:9" ht="18">
      <c r="A52" s="29" t="s">
        <v>1</v>
      </c>
      <c r="B52" s="49">
        <v>245.6</v>
      </c>
      <c r="C52" s="50">
        <v>325</v>
      </c>
      <c r="D52" s="51">
        <f>2.4+4.2+4.2+8.7+3.1+5.2-0.1+2.3+6.7+7.1+0.1+3.9+3.5+21.5+2.5-0.1+4.3+17.5+11.1+0.7-0.1+5.1+1.5+0.9+0.1+4.4+2.8+10.2</f>
        <v>133.70000000000002</v>
      </c>
      <c r="E52" s="1">
        <f>D52/D49*100</f>
        <v>1.494305544689459</v>
      </c>
      <c r="F52" s="1">
        <f t="shared" si="6"/>
        <v>54.438110749185675</v>
      </c>
      <c r="G52" s="1">
        <f t="shared" si="4"/>
        <v>41.13846153846155</v>
      </c>
      <c r="H52" s="1">
        <f t="shared" si="7"/>
        <v>111.89999999999998</v>
      </c>
      <c r="I52" s="1">
        <f t="shared" si="5"/>
        <v>191.29999999999998</v>
      </c>
    </row>
    <row r="53" spans="1:9" ht="18">
      <c r="A53" s="29" t="s">
        <v>0</v>
      </c>
      <c r="B53" s="49">
        <v>311.9</v>
      </c>
      <c r="C53" s="50">
        <f>534.1-3</f>
        <v>531.1</v>
      </c>
      <c r="D53" s="51">
        <f>6+11+5+10.4+0.1+20.8+16+0.1+76.5+39.2+7.7+0.3+8.1+0.1+0.2+12-0.1+0.1+4.7+0.1+6.4+2.7+8.2+0.3+5.7+1.7+0.9+0.1+5.2+0.5+0.2+3</f>
        <v>253.19999999999987</v>
      </c>
      <c r="E53" s="1">
        <f>D53/D49*100</f>
        <v>2.8299039933834766</v>
      </c>
      <c r="F53" s="1">
        <f t="shared" si="6"/>
        <v>81.17986534145555</v>
      </c>
      <c r="G53" s="1">
        <f t="shared" si="4"/>
        <v>47.674637544718486</v>
      </c>
      <c r="H53" s="1">
        <f t="shared" si="7"/>
        <v>58.7000000000001</v>
      </c>
      <c r="I53" s="1">
        <f t="shared" si="5"/>
        <v>277.90000000000015</v>
      </c>
    </row>
    <row r="54" spans="1:9" ht="18.75" thickBot="1">
      <c r="A54" s="29" t="s">
        <v>35</v>
      </c>
      <c r="B54" s="50">
        <f>B49-B50-B53-B52-B51</f>
        <v>3152.199999999999</v>
      </c>
      <c r="C54" s="50">
        <f>C49-C50-C53-C52-C51</f>
        <v>3782.2999999999984</v>
      </c>
      <c r="D54" s="50">
        <f>D49-D50-D53-D52-D51</f>
        <v>2638.6000000000045</v>
      </c>
      <c r="E54" s="1">
        <f>D54/D49*100</f>
        <v>29.490460809406226</v>
      </c>
      <c r="F54" s="1">
        <f t="shared" si="6"/>
        <v>83.70661760040625</v>
      </c>
      <c r="G54" s="1">
        <f t="shared" si="4"/>
        <v>69.76178515717965</v>
      </c>
      <c r="H54" s="1">
        <f t="shared" si="7"/>
        <v>513.5999999999945</v>
      </c>
      <c r="I54" s="1">
        <f>C54-D54</f>
        <v>1143.699999999994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2757.2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</f>
        <v>2605.0000000000005</v>
      </c>
      <c r="E56" s="3">
        <f>D56/D137*100</f>
        <v>0.5281541543500814</v>
      </c>
      <c r="F56" s="3">
        <f>D56/B56*100</f>
        <v>94.4799071521834</v>
      </c>
      <c r="G56" s="3">
        <f t="shared" si="4"/>
        <v>83.89694041867956</v>
      </c>
      <c r="H56" s="3">
        <f>B56-D56</f>
        <v>152.19999999999936</v>
      </c>
      <c r="I56" s="3">
        <f t="shared" si="5"/>
        <v>499.99999999999955</v>
      </c>
    </row>
    <row r="57" spans="1:9" ht="18">
      <c r="A57" s="29" t="s">
        <v>3</v>
      </c>
      <c r="B57" s="49">
        <v>1575.5</v>
      </c>
      <c r="C57" s="50">
        <f>2589.6-887.6+7.9+86.2</f>
        <v>1796.1000000000001</v>
      </c>
      <c r="D57" s="51">
        <f>128-60.9+102.5+75.2+87.9+68.6+30+93+68.5+96.9-0.1+67+116.4+112.6+49.7+83+52.4+24.4+26.2+0.2+55.4+42.6+44.2+67.6+0.1+42.3</f>
        <v>1473.7</v>
      </c>
      <c r="E57" s="1">
        <f>D57/D56*100</f>
        <v>56.57197696737043</v>
      </c>
      <c r="F57" s="1">
        <f t="shared" si="6"/>
        <v>93.53855918755951</v>
      </c>
      <c r="G57" s="1">
        <f t="shared" si="4"/>
        <v>82.04999721619063</v>
      </c>
      <c r="H57" s="1">
        <f t="shared" si="7"/>
        <v>101.79999999999995</v>
      </c>
      <c r="I57" s="1">
        <f t="shared" si="5"/>
        <v>322.4000000000001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6.963531669865642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166.1</v>
      </c>
      <c r="C59" s="50">
        <f>297.4-9.5</f>
        <v>287.9</v>
      </c>
      <c r="D59" s="51">
        <f>4.5+4.5+30.5+35.2+10+24.5+10.2+0.1+1.9+1.8+3+1.2+0.9+0.8+1.4+0.5</f>
        <v>131.00000000000003</v>
      </c>
      <c r="E59" s="1">
        <f>D59/D56*100</f>
        <v>5.028790786948177</v>
      </c>
      <c r="F59" s="1">
        <f t="shared" si="6"/>
        <v>78.86815171583386</v>
      </c>
      <c r="G59" s="1">
        <f t="shared" si="4"/>
        <v>45.50191038555055</v>
      </c>
      <c r="H59" s="1">
        <f t="shared" si="7"/>
        <v>35.099999999999966</v>
      </c>
      <c r="I59" s="1">
        <f t="shared" si="5"/>
        <v>156.89999999999995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27.957773512476003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105.89999999999984</v>
      </c>
      <c r="C61" s="50">
        <f>C56-C57-C59-C60-C58</f>
        <v>111.29999999999981</v>
      </c>
      <c r="D61" s="50">
        <f>D56-D57-D59-D60-D58</f>
        <v>90.60000000000034</v>
      </c>
      <c r="E61" s="1">
        <f>D61/D56*100</f>
        <v>3.4779270633397434</v>
      </c>
      <c r="F61" s="1">
        <f t="shared" si="6"/>
        <v>85.55240793201177</v>
      </c>
      <c r="G61" s="1">
        <f t="shared" si="4"/>
        <v>81.40161725067429</v>
      </c>
      <c r="H61" s="1">
        <f t="shared" si="7"/>
        <v>15.2999999999995</v>
      </c>
      <c r="I61" s="1">
        <f t="shared" si="5"/>
        <v>20.699999999999477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363.2</v>
      </c>
      <c r="C66" s="53">
        <f>C67+C68</f>
        <v>442.4</v>
      </c>
      <c r="D66" s="54">
        <f>SUM(D67:D68)</f>
        <v>1.4</v>
      </c>
      <c r="E66" s="42">
        <f>D66/D137*100</f>
        <v>0.00028384484302883446</v>
      </c>
      <c r="F66" s="113">
        <f>D66/B66*100</f>
        <v>0.3854625550660793</v>
      </c>
      <c r="G66" s="3">
        <f t="shared" si="4"/>
        <v>0.31645569620253167</v>
      </c>
      <c r="H66" s="3">
        <f>B66-D66</f>
        <v>361.8</v>
      </c>
      <c r="I66" s="3">
        <f t="shared" si="5"/>
        <v>441</v>
      </c>
    </row>
    <row r="67" spans="1:9" ht="18">
      <c r="A67" s="29" t="s">
        <v>8</v>
      </c>
      <c r="B67" s="49">
        <v>294.5</v>
      </c>
      <c r="C67" s="50">
        <v>257.4</v>
      </c>
      <c r="D67" s="51">
        <f>1.4</f>
        <v>1.4</v>
      </c>
      <c r="E67" s="1"/>
      <c r="F67" s="1">
        <f t="shared" si="6"/>
        <v>0.4753820033955857</v>
      </c>
      <c r="G67" s="1">
        <f t="shared" si="4"/>
        <v>0.5439005439005439</v>
      </c>
      <c r="H67" s="1">
        <f t="shared" si="7"/>
        <v>293.1</v>
      </c>
      <c r="I67" s="1">
        <f t="shared" si="5"/>
        <v>255.99999999999997</v>
      </c>
    </row>
    <row r="68" spans="1:9" ht="18.75" thickBot="1">
      <c r="A68" s="29" t="s">
        <v>9</v>
      </c>
      <c r="B68" s="49">
        <f>86.3-17.6</f>
        <v>68.69999999999999</v>
      </c>
      <c r="C68" s="50">
        <f>202.6-17.6</f>
        <v>185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68.69999999999999</v>
      </c>
      <c r="I68" s="1">
        <f t="shared" si="5"/>
        <v>185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333.3</v>
      </c>
      <c r="C74" s="69">
        <v>400</v>
      </c>
      <c r="D74" s="70"/>
      <c r="E74" s="48"/>
      <c r="F74" s="48"/>
      <c r="G74" s="48"/>
      <c r="H74" s="48">
        <f>B74-D74</f>
        <v>333.3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38287.9-451.1</f>
        <v>37836.8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</f>
        <v>33890.3</v>
      </c>
      <c r="E87" s="3">
        <f>D87/D137*100</f>
        <v>6.871133488357222</v>
      </c>
      <c r="F87" s="3">
        <f aca="true" t="shared" si="10" ref="F87:F92">D87/B87*100</f>
        <v>89.5696781968877</v>
      </c>
      <c r="G87" s="3">
        <f t="shared" si="8"/>
        <v>76.88117890992572</v>
      </c>
      <c r="H87" s="3">
        <f aca="true" t="shared" si="11" ref="H87:H92">B87-D87</f>
        <v>3946.5</v>
      </c>
      <c r="I87" s="3">
        <f t="shared" si="9"/>
        <v>10191.099999999999</v>
      </c>
    </row>
    <row r="88" spans="1:9" ht="18">
      <c r="A88" s="29" t="s">
        <v>3</v>
      </c>
      <c r="B88" s="49">
        <f>32207.1-475.1</f>
        <v>31732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</f>
        <v>29122.8</v>
      </c>
      <c r="E88" s="1">
        <f>D88/D87*100</f>
        <v>85.93255297238443</v>
      </c>
      <c r="F88" s="1">
        <f t="shared" si="10"/>
        <v>91.77738560443716</v>
      </c>
      <c r="G88" s="1">
        <f t="shared" si="8"/>
        <v>78.18956999871128</v>
      </c>
      <c r="H88" s="1">
        <f t="shared" si="11"/>
        <v>2609.2000000000007</v>
      </c>
      <c r="I88" s="1">
        <f t="shared" si="9"/>
        <v>8123.600000000002</v>
      </c>
    </row>
    <row r="89" spans="1:9" ht="18">
      <c r="A89" s="29" t="s">
        <v>33</v>
      </c>
      <c r="B89" s="49">
        <f>1567.9-40</f>
        <v>1527.9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125+55.5+51.3+1.7-0.1+10.4+5.3+280.6+162.7+2.2+25.3+117.8+56.8+64.4+1.4+31+7.8+37.2+1.9+36.4+8.8+1+3.9+10.1+30.1+1.8+10.7+4.2+23.3+14.3+12.2+6</f>
        <v>1201</v>
      </c>
      <c r="E89" s="1">
        <f>D89/D87*100</f>
        <v>3.543786865268233</v>
      </c>
      <c r="F89" s="1">
        <f t="shared" si="10"/>
        <v>78.60462072125138</v>
      </c>
      <c r="G89" s="1">
        <f t="shared" si="8"/>
        <v>65.62124357993663</v>
      </c>
      <c r="H89" s="1">
        <f t="shared" si="11"/>
        <v>326.9000000000001</v>
      </c>
      <c r="I89" s="1">
        <f t="shared" si="9"/>
        <v>629.1999999999998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4576.900000000003</v>
      </c>
      <c r="C91" s="50">
        <f>C87-C88-C89-C90</f>
        <v>5004.8</v>
      </c>
      <c r="D91" s="50">
        <f>D87-D88-D89-D90</f>
        <v>3566.5000000000036</v>
      </c>
      <c r="E91" s="1">
        <f>D91/D87*100</f>
        <v>10.523660162347348</v>
      </c>
      <c r="F91" s="1">
        <f t="shared" si="10"/>
        <v>77.92392230549065</v>
      </c>
      <c r="G91" s="1">
        <f>D91/C91*100</f>
        <v>71.26158887468038</v>
      </c>
      <c r="H91" s="1">
        <f t="shared" si="11"/>
        <v>1010.3999999999996</v>
      </c>
      <c r="I91" s="1">
        <f>C91-D91</f>
        <v>1438.2999999999965</v>
      </c>
    </row>
    <row r="92" spans="1:9" ht="19.5" thickBot="1">
      <c r="A92" s="14" t="s">
        <v>12</v>
      </c>
      <c r="B92" s="61">
        <v>37629.4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</f>
        <v>28222.400000000005</v>
      </c>
      <c r="E92" s="3">
        <f>D92/D137*100</f>
        <v>5.7219876413549855</v>
      </c>
      <c r="F92" s="3">
        <f t="shared" si="10"/>
        <v>75.0009301237862</v>
      </c>
      <c r="G92" s="3">
        <f>D92/C92*100</f>
        <v>65.25048321018025</v>
      </c>
      <c r="H92" s="3">
        <f t="shared" si="11"/>
        <v>9406.999999999996</v>
      </c>
      <c r="I92" s="3">
        <f>C92-D92</f>
        <v>15029.999999999996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5190.9+17.6</f>
        <v>5208.5</v>
      </c>
      <c r="C98" s="106">
        <f>5290.2+873.6+17.6</f>
        <v>6181.400000000001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</f>
        <v>4536.0999999999985</v>
      </c>
      <c r="E98" s="25">
        <f>D98/D137*100</f>
        <v>0.9196775660450682</v>
      </c>
      <c r="F98" s="25">
        <f>D98/B98*100</f>
        <v>87.09033310934048</v>
      </c>
      <c r="G98" s="25">
        <f aca="true" t="shared" si="12" ref="G98:G135">D98/C98*100</f>
        <v>73.38305238295528</v>
      </c>
      <c r="H98" s="25">
        <f aca="true" t="shared" si="13" ref="H98:H103">B98-D98</f>
        <v>672.4000000000015</v>
      </c>
      <c r="I98" s="25">
        <f aca="true" t="shared" si="14" ref="I98:I135">C98-D98</f>
        <v>1645.300000000002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0.3350896144264898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4816.4+17.6</f>
        <v>4834</v>
      </c>
      <c r="C100" s="51">
        <f>5711.4+17.6</f>
        <v>5729</v>
      </c>
      <c r="D100" s="51">
        <f>3302.1+5.1+16.7+151+216.3+17.4+13.8+53.7+7.6+119.5+15.5+6.4+75+28.9+153.8+9.3+9.1+11.7+14.3</f>
        <v>4227.200000000001</v>
      </c>
      <c r="E100" s="1">
        <f>D100/D98*100</f>
        <v>93.19018540155645</v>
      </c>
      <c r="F100" s="1">
        <f aca="true" t="shared" si="15" ref="F100:F135">D100/B100*100</f>
        <v>87.4472486553579</v>
      </c>
      <c r="G100" s="1">
        <f t="shared" si="12"/>
        <v>73.7860010473032</v>
      </c>
      <c r="H100" s="1">
        <f t="shared" si="13"/>
        <v>606.7999999999993</v>
      </c>
      <c r="I100" s="1">
        <f t="shared" si="14"/>
        <v>1501.7999999999993</v>
      </c>
    </row>
    <row r="101" spans="1:9" ht="54.75" thickBot="1">
      <c r="A101" s="99" t="s">
        <v>107</v>
      </c>
      <c r="B101" s="101">
        <v>307.2</v>
      </c>
      <c r="C101" s="101">
        <v>400.1</v>
      </c>
      <c r="D101" s="101">
        <f>17.7+41.2+3+5.2+16.9+34.4+10.6+13.9+13.1+2.6+3.8+6.5+29.2+10.8+9.4+3.9+11.8</f>
        <v>234.00000000000003</v>
      </c>
      <c r="E101" s="97">
        <f>D101/D98*100</f>
        <v>5.158616432618331</v>
      </c>
      <c r="F101" s="97">
        <f>D101/B101*100</f>
        <v>76.17187500000001</v>
      </c>
      <c r="G101" s="97">
        <f>D101/C101*100</f>
        <v>58.48537865533617</v>
      </c>
      <c r="H101" s="97">
        <f t="shared" si="13"/>
        <v>73.19999999999996</v>
      </c>
      <c r="I101" s="97">
        <f>C101-D101</f>
        <v>166.1</v>
      </c>
    </row>
    <row r="102" spans="1:9" ht="18.75" thickBot="1">
      <c r="A102" s="99" t="s">
        <v>35</v>
      </c>
      <c r="B102" s="101">
        <f>B98-B99-B100</f>
        <v>359.3000000000002</v>
      </c>
      <c r="C102" s="101">
        <f>C98-C99-C100</f>
        <v>437.2000000000007</v>
      </c>
      <c r="D102" s="101">
        <f>D98-D99-D100</f>
        <v>293.699999999998</v>
      </c>
      <c r="E102" s="97">
        <f>D102/D98*100</f>
        <v>6.474724984017064</v>
      </c>
      <c r="F102" s="97">
        <f t="shared" si="15"/>
        <v>81.7422766490392</v>
      </c>
      <c r="G102" s="97">
        <f t="shared" si="12"/>
        <v>67.1774931381513</v>
      </c>
      <c r="H102" s="97">
        <f>B102-D102</f>
        <v>65.60000000000218</v>
      </c>
      <c r="I102" s="97">
        <f t="shared" si="14"/>
        <v>143.50000000000273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13962.199999999997</v>
      </c>
      <c r="C103" s="94">
        <f>SUM(C104:C134)-C111-C115+C135-C130-C131-C105-C108-C118-C119</f>
        <v>17161.1</v>
      </c>
      <c r="D103" s="94">
        <f>SUM(D104:D134)-D111-D115+D135-D130-D131-D105-D108-D118-D119</f>
        <v>10642.5</v>
      </c>
      <c r="E103" s="95">
        <f>D103/D137*100</f>
        <v>2.1577276728102652</v>
      </c>
      <c r="F103" s="95">
        <f>D103/B103*100</f>
        <v>76.22366102763176</v>
      </c>
      <c r="G103" s="95">
        <f t="shared" si="12"/>
        <v>62.015255432344084</v>
      </c>
      <c r="H103" s="95">
        <f t="shared" si="13"/>
        <v>3319.699999999997</v>
      </c>
      <c r="I103" s="95">
        <f t="shared" si="14"/>
        <v>6518.5999999999985</v>
      </c>
    </row>
    <row r="104" spans="1:9" ht="37.5">
      <c r="A104" s="34" t="s">
        <v>69</v>
      </c>
      <c r="B104" s="79">
        <v>1046.4</v>
      </c>
      <c r="C104" s="75">
        <f>1869.9-400</f>
        <v>1469.9</v>
      </c>
      <c r="D104" s="80">
        <f>1.4+20.1+85.2+143.2+49+97.4+39.5+2.1+10+69.9+14+22.7+50+22.1+4.6+24.2+39.7</f>
        <v>695.1000000000001</v>
      </c>
      <c r="E104" s="6">
        <f>D104/D103*100</f>
        <v>6.531360112755463</v>
      </c>
      <c r="F104" s="6">
        <f t="shared" si="15"/>
        <v>66.427752293578</v>
      </c>
      <c r="G104" s="6">
        <f t="shared" si="12"/>
        <v>47.28893121981088</v>
      </c>
      <c r="H104" s="6">
        <f aca="true" t="shared" si="16" ref="H104:H135">B104-D104</f>
        <v>351.29999999999995</v>
      </c>
      <c r="I104" s="6">
        <f t="shared" si="14"/>
        <v>774.8</v>
      </c>
    </row>
    <row r="105" spans="1:9" ht="18">
      <c r="A105" s="29" t="s">
        <v>33</v>
      </c>
      <c r="B105" s="82">
        <v>580.5</v>
      </c>
      <c r="C105" s="51">
        <f>1242.6+0.7-337</f>
        <v>906.3</v>
      </c>
      <c r="D105" s="83">
        <f>1.4+85.2+143.2+49+2.1+10+14+22.7+19.6</f>
        <v>347.20000000000005</v>
      </c>
      <c r="E105" s="1"/>
      <c r="F105" s="1">
        <f t="shared" si="15"/>
        <v>59.81050818260122</v>
      </c>
      <c r="G105" s="1">
        <f t="shared" si="12"/>
        <v>38.30961050424805</v>
      </c>
      <c r="H105" s="1">
        <f t="shared" si="16"/>
        <v>233.29999999999995</v>
      </c>
      <c r="I105" s="1">
        <f t="shared" si="14"/>
        <v>559.0999999999999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</f>
        <v>122</v>
      </c>
      <c r="E106" s="6">
        <f>D106/D103*100</f>
        <v>1.1463471928588207</v>
      </c>
      <c r="F106" s="6">
        <f>D106/B106*100</f>
        <v>14.22740524781341</v>
      </c>
      <c r="G106" s="6">
        <f t="shared" si="12"/>
        <v>14.22740524781341</v>
      </c>
      <c r="H106" s="6">
        <f t="shared" si="16"/>
        <v>735.5</v>
      </c>
      <c r="I106" s="6">
        <f t="shared" si="14"/>
        <v>735.5</v>
      </c>
    </row>
    <row r="107" spans="1:9" ht="34.5" customHeight="1">
      <c r="A107" s="17" t="s">
        <v>78</v>
      </c>
      <c r="B107" s="81">
        <f>29.7+27</f>
        <v>56.7</v>
      </c>
      <c r="C107" s="68">
        <f>36.5+27</f>
        <v>63.5</v>
      </c>
      <c r="D107" s="80">
        <f>7.4</f>
        <v>7.4</v>
      </c>
      <c r="E107" s="6">
        <f>D107/D103*100</f>
        <v>0.06953253464881372</v>
      </c>
      <c r="F107" s="6">
        <f t="shared" si="15"/>
        <v>13.051146384479717</v>
      </c>
      <c r="G107" s="6">
        <f t="shared" si="12"/>
        <v>11.653543307086615</v>
      </c>
      <c r="H107" s="6">
        <f t="shared" si="16"/>
        <v>49.300000000000004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62.8</v>
      </c>
      <c r="C109" s="68">
        <v>75.5</v>
      </c>
      <c r="D109" s="80">
        <f>5.5+5.5+5.5-0.1+5.5+5.5+5.5+5.5-0.1+5.5+5.5</f>
        <v>49.3</v>
      </c>
      <c r="E109" s="6">
        <f>D109/D103*100</f>
        <v>0.4632370213765562</v>
      </c>
      <c r="F109" s="6">
        <f t="shared" si="15"/>
        <v>78.5031847133758</v>
      </c>
      <c r="G109" s="6">
        <f t="shared" si="12"/>
        <v>65.2980132450331</v>
      </c>
      <c r="H109" s="6">
        <f t="shared" si="16"/>
        <v>13.5</v>
      </c>
      <c r="I109" s="6">
        <f t="shared" si="14"/>
        <v>26.200000000000003</v>
      </c>
    </row>
    <row r="110" spans="1:9" ht="37.5">
      <c r="A110" s="17" t="s">
        <v>47</v>
      </c>
      <c r="B110" s="81">
        <v>866.1</v>
      </c>
      <c r="C110" s="68">
        <v>1050</v>
      </c>
      <c r="D110" s="80">
        <f>149.7+2.5+4.1+81.3+2.1+67.3+8+8.2+93.7+3.3+1.1+74.6+81.4+0.6+75.3+2.1+80.5+10.7</f>
        <v>746.5</v>
      </c>
      <c r="E110" s="6">
        <f>D110/D103*100</f>
        <v>7.014329339910735</v>
      </c>
      <c r="F110" s="6">
        <f t="shared" si="15"/>
        <v>86.19097101951276</v>
      </c>
      <c r="G110" s="6">
        <f t="shared" si="12"/>
        <v>71.0952380952381</v>
      </c>
      <c r="H110" s="6">
        <f t="shared" si="16"/>
        <v>119.60000000000002</v>
      </c>
      <c r="I110" s="6">
        <f t="shared" si="14"/>
        <v>303.5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f>74.5-10</f>
        <v>64.5</v>
      </c>
      <c r="C112" s="60">
        <f>51.6+22.9-10</f>
        <v>64.5</v>
      </c>
      <c r="D112" s="84">
        <f>22.9</f>
        <v>22.9</v>
      </c>
      <c r="E112" s="19">
        <f>D112/D103*100</f>
        <v>0.2151750058726803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192.9</v>
      </c>
      <c r="C113" s="68">
        <f>488.6-250</f>
        <v>238.60000000000002</v>
      </c>
      <c r="D113" s="80">
        <f>4.9+70</f>
        <v>74.9</v>
      </c>
      <c r="E113" s="6">
        <f>D113/D103*100</f>
        <v>0.7037820061075876</v>
      </c>
      <c r="F113" s="6">
        <f>D113/B113*100</f>
        <v>38.828408501814415</v>
      </c>
      <c r="G113" s="6">
        <f t="shared" si="12"/>
        <v>31.391450125733446</v>
      </c>
      <c r="H113" s="6">
        <f t="shared" si="16"/>
        <v>118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174.9</v>
      </c>
      <c r="C114" s="60">
        <f>153.4+26.9</f>
        <v>180.3</v>
      </c>
      <c r="D114" s="80">
        <f>13.5+13.4+14.3+0.8+6.9+0.4+13.5-0.1+0.8+0.5+2+13.5-0.1+0.1+13.9+0.3+2.4+13.5+0.3+6.3+13.5+3.9</f>
        <v>133.6</v>
      </c>
      <c r="E114" s="6">
        <f>D114/D103*100</f>
        <v>1.2553441390650693</v>
      </c>
      <c r="F114" s="6">
        <f t="shared" si="15"/>
        <v>76.38650657518582</v>
      </c>
      <c r="G114" s="6">
        <f t="shared" si="12"/>
        <v>74.09872434830837</v>
      </c>
      <c r="H114" s="6">
        <f t="shared" si="16"/>
        <v>41.30000000000001</v>
      </c>
      <c r="I114" s="6">
        <f t="shared" si="14"/>
        <v>46.70000000000002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</f>
        <v>107.8</v>
      </c>
      <c r="E115" s="1"/>
      <c r="F115" s="1">
        <f t="shared" si="15"/>
        <v>72.7395411605938</v>
      </c>
      <c r="G115" s="1">
        <f t="shared" si="12"/>
        <v>72.7395411605938</v>
      </c>
      <c r="H115" s="1">
        <f t="shared" si="16"/>
        <v>40.39999999999999</v>
      </c>
      <c r="I115" s="1">
        <f t="shared" si="14"/>
        <v>40.39999999999999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674.7</v>
      </c>
      <c r="C117" s="60">
        <f>94.7+700</f>
        <v>794.7</v>
      </c>
      <c r="D117" s="84">
        <f>16.2+3.7+20.7+6.7+10.5</f>
        <v>57.8</v>
      </c>
      <c r="E117" s="19">
        <f>D117/D103*100</f>
        <v>0.5431054733380314</v>
      </c>
      <c r="F117" s="6">
        <f t="shared" si="15"/>
        <v>8.566770416481399</v>
      </c>
      <c r="G117" s="6">
        <f t="shared" si="12"/>
        <v>7.27318484962879</v>
      </c>
      <c r="H117" s="6">
        <f t="shared" si="16"/>
        <v>616.9000000000001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1661.4</v>
      </c>
      <c r="C120" s="60">
        <v>1700.1</v>
      </c>
      <c r="D120" s="84">
        <f>196.6+25+11.8+12.7+6.1+3.1+261.8+113.5+10.8+196.3+110+87.9+5.6</f>
        <v>1041.2</v>
      </c>
      <c r="E120" s="19">
        <f>D120/D103*100</f>
        <v>9.783415550857413</v>
      </c>
      <c r="F120" s="6">
        <f t="shared" si="15"/>
        <v>62.670037317924645</v>
      </c>
      <c r="G120" s="6">
        <f t="shared" si="12"/>
        <v>61.243456267278404</v>
      </c>
      <c r="H120" s="6">
        <f t="shared" si="16"/>
        <v>620.2</v>
      </c>
      <c r="I120" s="6">
        <f t="shared" si="14"/>
        <v>658.8999999999999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0.04134366925064599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0.4622973925299506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0.43316889828517735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164.5</v>
      </c>
      <c r="C125" s="60">
        <v>178.8</v>
      </c>
      <c r="D125" s="84">
        <f>7.2+1.4+9.3+6.8+7.7+4.3+1.8+6+21.8+13.1+2.5+17+2.4+20.7+0.2+12.9</f>
        <v>135.1</v>
      </c>
      <c r="E125" s="19">
        <f>D125/D103*100</f>
        <v>1.269438571764153</v>
      </c>
      <c r="F125" s="6">
        <f t="shared" si="15"/>
        <v>82.12765957446808</v>
      </c>
      <c r="G125" s="6">
        <f t="shared" si="12"/>
        <v>75.5592841163311</v>
      </c>
      <c r="H125" s="6">
        <f t="shared" si="16"/>
        <v>29.400000000000006</v>
      </c>
      <c r="I125" s="6">
        <f t="shared" si="14"/>
        <v>43.70000000000002</v>
      </c>
    </row>
    <row r="126" spans="1:9" s="2" customFormat="1" ht="35.25" customHeight="1">
      <c r="A126" s="17" t="s">
        <v>74</v>
      </c>
      <c r="B126" s="81">
        <v>46.8</v>
      </c>
      <c r="C126" s="60">
        <v>67.6</v>
      </c>
      <c r="D126" s="84">
        <f>0.5+1.5+0.1+14.8</f>
        <v>16.900000000000002</v>
      </c>
      <c r="E126" s="19">
        <f>D126/D103*100</f>
        <v>0.15879727507634486</v>
      </c>
      <c r="F126" s="6">
        <f t="shared" si="15"/>
        <v>36.111111111111114</v>
      </c>
      <c r="G126" s="6">
        <f t="shared" si="12"/>
        <v>25.000000000000007</v>
      </c>
      <c r="H126" s="6">
        <f t="shared" si="16"/>
        <v>29.899999999999995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f>60-40</f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727.1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</f>
        <v>682.3000000000003</v>
      </c>
      <c r="E129" s="19">
        <f>D129/D103*100</f>
        <v>6.411087620389949</v>
      </c>
      <c r="F129" s="6">
        <f t="shared" si="15"/>
        <v>93.83853665245499</v>
      </c>
      <c r="G129" s="6">
        <f t="shared" si="12"/>
        <v>78.58788297627278</v>
      </c>
      <c r="H129" s="6">
        <f t="shared" si="16"/>
        <v>44.79999999999973</v>
      </c>
      <c r="I129" s="6">
        <f t="shared" si="14"/>
        <v>185.89999999999975</v>
      </c>
    </row>
    <row r="130" spans="1:9" s="39" customFormat="1" ht="18">
      <c r="A130" s="40" t="s">
        <v>54</v>
      </c>
      <c r="B130" s="82">
        <v>630.1</v>
      </c>
      <c r="C130" s="51">
        <v>747.1</v>
      </c>
      <c r="D130" s="83">
        <f>21.4+1.2+34.6+22.6+31.2+22.6+44.8+0.2+32.7+30.6+29.7+33.6+24.3+38.4+29.7+36.6+5.6+24.5+36.9+39.8+25+0.6+28.8</f>
        <v>595.4</v>
      </c>
      <c r="E130" s="1">
        <f>D130/D129*100</f>
        <v>87.26366700864719</v>
      </c>
      <c r="F130" s="1">
        <f>D130/B130*100</f>
        <v>94.49293762894779</v>
      </c>
      <c r="G130" s="1">
        <f t="shared" si="12"/>
        <v>79.6948199705528</v>
      </c>
      <c r="H130" s="1">
        <f t="shared" si="16"/>
        <v>34.700000000000045</v>
      </c>
      <c r="I130" s="1">
        <f t="shared" si="14"/>
        <v>151.70000000000005</v>
      </c>
    </row>
    <row r="131" spans="1:9" s="39" customFormat="1" ht="18">
      <c r="A131" s="29" t="s">
        <v>33</v>
      </c>
      <c r="B131" s="82">
        <v>15.4</v>
      </c>
      <c r="C131" s="51">
        <f>27.4-3</f>
        <v>24.4</v>
      </c>
      <c r="D131" s="83">
        <f>3.4+3+2.7+1.6-0.1+0.1+0.1+0.1+0.1+0.1</f>
        <v>11.1</v>
      </c>
      <c r="E131" s="1">
        <f>D131/D129*100</f>
        <v>1.6268503590795829</v>
      </c>
      <c r="F131" s="1">
        <f>D131/B131*100</f>
        <v>72.07792207792207</v>
      </c>
      <c r="G131" s="1">
        <f>D131/C131*100</f>
        <v>45.49180327868852</v>
      </c>
      <c r="H131" s="1">
        <f t="shared" si="16"/>
        <v>4.300000000000001</v>
      </c>
      <c r="I131" s="1">
        <f t="shared" si="14"/>
        <v>13.299999999999999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59.02748414376321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4.470754052149402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20631.1</v>
      </c>
      <c r="C136" s="85">
        <f>C41+C66+C69+C74+C76+C84+C98+C103+C96+C81+C94</f>
        <v>25005.5</v>
      </c>
      <c r="D136" s="60">
        <f>D41+D66+D69+D74+D76+D84+D98+D103+D96+D81+D94</f>
        <v>15677.8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544692.2999999999</v>
      </c>
      <c r="C137" s="54">
        <f>C6+C17+C31+C41+C49+C56+C66+C69+C74+C76+C84+C87+C92+C98+C103+C96+C81+C94+C43</f>
        <v>624159.8</v>
      </c>
      <c r="D137" s="54">
        <f>D6+D17+D31+D41+D49+D56+D66+D69+D74+D76+D84+D87+D92+D98+D103+D96+D81+D94+D43</f>
        <v>493227.2100000001</v>
      </c>
      <c r="E137" s="38">
        <v>100</v>
      </c>
      <c r="F137" s="3">
        <f>D137/B137*100</f>
        <v>90.55152973522851</v>
      </c>
      <c r="G137" s="3">
        <f aca="true" t="shared" si="17" ref="G137:G143">D137/C137*100</f>
        <v>79.02258524179226</v>
      </c>
      <c r="H137" s="3">
        <f aca="true" t="shared" si="18" ref="H137:H143">B137-D137</f>
        <v>51465.08999999985</v>
      </c>
      <c r="I137" s="3">
        <f aca="true" t="shared" si="19" ref="I137:I143">C137-D137</f>
        <v>130932.58999999997</v>
      </c>
      <c r="K137" s="46"/>
      <c r="L137" s="47"/>
    </row>
    <row r="138" spans="1:12" ht="18.75">
      <c r="A138" s="23" t="s">
        <v>5</v>
      </c>
      <c r="B138" s="67">
        <f>B7+B18+B32+B50+B57+B88+B111+B115+B44+B130</f>
        <v>390706.99999999994</v>
      </c>
      <c r="C138" s="67">
        <f>C7+C18+C32+C50+C57+C88+C111+C115+C44+C130</f>
        <v>430976.7</v>
      </c>
      <c r="D138" s="67">
        <f>D7+D18+D32+D50+D57+D88+D111+D115+D44+D130</f>
        <v>368467.49999999994</v>
      </c>
      <c r="E138" s="6">
        <f>D138/D137*100</f>
        <v>74.70542835623361</v>
      </c>
      <c r="F138" s="6">
        <f aca="true" t="shared" si="20" ref="F138:F149">D138/B138*100</f>
        <v>94.30788288922389</v>
      </c>
      <c r="G138" s="6">
        <f t="shared" si="17"/>
        <v>85.4959212412179</v>
      </c>
      <c r="H138" s="6">
        <f t="shared" si="18"/>
        <v>22239.5</v>
      </c>
      <c r="I138" s="18">
        <f t="shared" si="19"/>
        <v>62509.20000000007</v>
      </c>
      <c r="K138" s="46"/>
      <c r="L138" s="47"/>
    </row>
    <row r="139" spans="1:12" ht="18.75">
      <c r="A139" s="23" t="s">
        <v>0</v>
      </c>
      <c r="B139" s="68">
        <f>B10+B21+B34+B53+B59+B89+B47+B131+B105+B108</f>
        <v>43555.8</v>
      </c>
      <c r="C139" s="68">
        <f>C10+C21+C34+C53+C59+C89+C47+C131+C105+C108</f>
        <v>64495.399999999994</v>
      </c>
      <c r="D139" s="68">
        <f>D10+D21+D34+D53+D59+D89+D47+D131+D105+D108</f>
        <v>36497.79999999998</v>
      </c>
      <c r="E139" s="6">
        <f>D139/D137*100</f>
        <v>7.399794508498421</v>
      </c>
      <c r="F139" s="6">
        <f t="shared" si="20"/>
        <v>83.79549910689272</v>
      </c>
      <c r="G139" s="6">
        <f t="shared" si="17"/>
        <v>56.58977229383798</v>
      </c>
      <c r="H139" s="6">
        <f t="shared" si="18"/>
        <v>7058.000000000022</v>
      </c>
      <c r="I139" s="18">
        <f t="shared" si="19"/>
        <v>27997.600000000013</v>
      </c>
      <c r="K139" s="46"/>
      <c r="L139" s="103"/>
    </row>
    <row r="140" spans="1:12" ht="18.75">
      <c r="A140" s="23" t="s">
        <v>1</v>
      </c>
      <c r="B140" s="67">
        <f>B20+B9+B52+B46+B58+B33+B99+B119</f>
        <v>16570.800000000003</v>
      </c>
      <c r="C140" s="67">
        <f>C20+C9+C52+C46+C58+C33+C99+C119</f>
        <v>20516.600000000002</v>
      </c>
      <c r="D140" s="67">
        <f>D20+D9+D52+D46+D58+D33+D99+D119</f>
        <v>15508.600000000002</v>
      </c>
      <c r="E140" s="6">
        <f>D140/D137*100</f>
        <v>3.1443115232835592</v>
      </c>
      <c r="F140" s="6">
        <f t="shared" si="20"/>
        <v>93.58992927317932</v>
      </c>
      <c r="G140" s="6">
        <f t="shared" si="17"/>
        <v>75.59049745084468</v>
      </c>
      <c r="H140" s="6">
        <f t="shared" si="18"/>
        <v>1062.2000000000007</v>
      </c>
      <c r="I140" s="18">
        <f t="shared" si="19"/>
        <v>5008</v>
      </c>
      <c r="K140" s="46"/>
      <c r="L140" s="47"/>
    </row>
    <row r="141" spans="1:12" ht="21" customHeight="1">
      <c r="A141" s="23" t="s">
        <v>15</v>
      </c>
      <c r="B141" s="67">
        <f>B11+B22+B100+B60+B36+B90</f>
        <v>7016.2</v>
      </c>
      <c r="C141" s="67">
        <f>C11+C22+C100+C60+C36+C90</f>
        <v>8131</v>
      </c>
      <c r="D141" s="67">
        <f>D11+D22+D100+D60+D36+D90</f>
        <v>6320.800000000001</v>
      </c>
      <c r="E141" s="6">
        <f>D141/D137*100</f>
        <v>1.2815189170118981</v>
      </c>
      <c r="F141" s="6">
        <f t="shared" si="20"/>
        <v>90.08865197685358</v>
      </c>
      <c r="G141" s="6">
        <f t="shared" si="17"/>
        <v>77.73705571270447</v>
      </c>
      <c r="H141" s="6">
        <f t="shared" si="18"/>
        <v>695.3999999999987</v>
      </c>
      <c r="I141" s="18">
        <f t="shared" si="19"/>
        <v>1810.199999999999</v>
      </c>
      <c r="K141" s="46"/>
      <c r="L141" s="103"/>
    </row>
    <row r="142" spans="1:12" ht="18.75">
      <c r="A142" s="23" t="s">
        <v>2</v>
      </c>
      <c r="B142" s="67">
        <f>B8+B19+B45+B51+B118</f>
        <v>6688.6</v>
      </c>
      <c r="C142" s="67">
        <f>C8+C19+C45+C51+C118</f>
        <v>7943.900000000001</v>
      </c>
      <c r="D142" s="67">
        <f>D8+D19+D45+D51+D118</f>
        <v>4265.599999999999</v>
      </c>
      <c r="E142" s="6">
        <f>D142/D137*100</f>
        <v>0.8648346874455686</v>
      </c>
      <c r="F142" s="6">
        <f t="shared" si="20"/>
        <v>63.77418293813353</v>
      </c>
      <c r="G142" s="6">
        <f t="shared" si="17"/>
        <v>53.69654703609057</v>
      </c>
      <c r="H142" s="6">
        <f t="shared" si="18"/>
        <v>2423.000000000001</v>
      </c>
      <c r="I142" s="18">
        <f t="shared" si="19"/>
        <v>3678.300000000001</v>
      </c>
      <c r="K142" s="46"/>
      <c r="L142" s="47"/>
    </row>
    <row r="143" spans="1:12" ht="19.5" thickBot="1">
      <c r="A143" s="23" t="s">
        <v>35</v>
      </c>
      <c r="B143" s="67">
        <f>B137-B138-B139-B140-B141-B142</f>
        <v>80153.89999999998</v>
      </c>
      <c r="C143" s="67">
        <f>C137-C138-C139-C140-C141-C142</f>
        <v>92096.20000000004</v>
      </c>
      <c r="D143" s="67">
        <f>D137-D138-D139-D140-D141-D142</f>
        <v>62166.91000000014</v>
      </c>
      <c r="E143" s="6">
        <f>D143/D137*100</f>
        <v>12.604112007526943</v>
      </c>
      <c r="F143" s="6">
        <f t="shared" si="20"/>
        <v>77.55943254164819</v>
      </c>
      <c r="G143" s="43">
        <f t="shared" si="17"/>
        <v>67.50214449673288</v>
      </c>
      <c r="H143" s="6">
        <f t="shared" si="18"/>
        <v>17986.989999999838</v>
      </c>
      <c r="I143" s="6">
        <f t="shared" si="19"/>
        <v>29929.2899999999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63538+234.4-632</f>
        <v>63140.4</v>
      </c>
      <c r="C145" s="74">
        <f>77971.6-8326.2+721.6-624</f>
        <v>69743.00000000001</v>
      </c>
      <c r="D145" s="74">
        <f>1285.7+343.1+251.2+535+4+1250.9+3+47.1-1+182.9+10.6+2492.6+31+22.3+70.1+288.5+61.4+28+67+8.2+59.1+10.4+80.6+354.8+3.8+68.4+2.6+5.3+24.2+4809.3+1220.5+217.5+98.1+52.8+976.5+2798.4+12.2+2.6+88.8</f>
        <v>17867.5</v>
      </c>
      <c r="E145" s="15"/>
      <c r="F145" s="6">
        <f t="shared" si="20"/>
        <v>28.298046892322503</v>
      </c>
      <c r="G145" s="6">
        <f aca="true" t="shared" si="21" ref="G145:G154">D145/C145*100</f>
        <v>25.619058543509738</v>
      </c>
      <c r="H145" s="6">
        <f>B145-D145</f>
        <v>45272.9</v>
      </c>
      <c r="I145" s="6">
        <f aca="true" t="shared" si="22" ref="I145:I154">C145-D145</f>
        <v>51875.500000000015</v>
      </c>
      <c r="J145" s="105"/>
      <c r="K145" s="46"/>
      <c r="L145" s="46"/>
    </row>
    <row r="146" spans="1:12" ht="18.75">
      <c r="A146" s="23" t="s">
        <v>22</v>
      </c>
      <c r="B146" s="89">
        <f>27028.7-195</f>
        <v>26833.7</v>
      </c>
      <c r="C146" s="67">
        <f>23644.2-130+4631.1-195</f>
        <v>27950.300000000003</v>
      </c>
      <c r="D146" s="67">
        <f>2921.3+155.4+1707.9+56.8+14.6+990.8-990.8+14.7+990.8+400.1+597.2+8.8-9.6+18.2+0.4+53.9+92.1+242.6+11.1+67.1+121.7-0.1+4651+87.1</f>
        <v>12203.1</v>
      </c>
      <c r="E146" s="6"/>
      <c r="F146" s="6">
        <f t="shared" si="20"/>
        <v>45.47676988264757</v>
      </c>
      <c r="G146" s="6">
        <f t="shared" si="21"/>
        <v>43.65999649377645</v>
      </c>
      <c r="H146" s="6">
        <f aca="true" t="shared" si="23" ref="H146:H153">B146-D146</f>
        <v>14630.6</v>
      </c>
      <c r="I146" s="6">
        <f t="shared" si="22"/>
        <v>15747.200000000003</v>
      </c>
      <c r="K146" s="46"/>
      <c r="L146" s="46"/>
    </row>
    <row r="147" spans="1:12" ht="18.75">
      <c r="A147" s="23" t="s">
        <v>63</v>
      </c>
      <c r="B147" s="89">
        <f>87818.4-39.4+632</f>
        <v>88411</v>
      </c>
      <c r="C147" s="67">
        <f>109130.7-6200+130-3633.3+1677.5-526.6+624</f>
        <v>101202.29999999999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</f>
        <v>21479.899999999998</v>
      </c>
      <c r="E147" s="6"/>
      <c r="F147" s="6">
        <f t="shared" si="20"/>
        <v>24.29550621528995</v>
      </c>
      <c r="G147" s="6">
        <f t="shared" si="21"/>
        <v>21.224715248566486</v>
      </c>
      <c r="H147" s="6">
        <f t="shared" si="23"/>
        <v>66931.1</v>
      </c>
      <c r="I147" s="6">
        <f t="shared" si="22"/>
        <v>79722.4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17475.5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</f>
        <v>4648.500000000002</v>
      </c>
      <c r="E149" s="19"/>
      <c r="F149" s="6">
        <f t="shared" si="20"/>
        <v>26.60009727904782</v>
      </c>
      <c r="G149" s="6">
        <f t="shared" si="21"/>
        <v>23.878381293855373</v>
      </c>
      <c r="H149" s="6">
        <f t="shared" si="23"/>
        <v>12826.999999999998</v>
      </c>
      <c r="I149" s="6">
        <f t="shared" si="22"/>
        <v>14818.9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989.1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87.41279951471034</v>
      </c>
      <c r="G151" s="6">
        <f t="shared" si="21"/>
        <v>75.10423905489924</v>
      </c>
      <c r="H151" s="6">
        <f t="shared" si="23"/>
        <v>124.5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8156.2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</f>
        <v>2201.2999999999997</v>
      </c>
      <c r="E153" s="24"/>
      <c r="F153" s="6">
        <f>D153/B153*100</f>
        <v>26.98928422549717</v>
      </c>
      <c r="G153" s="6">
        <f t="shared" si="21"/>
        <v>24.82771843948434</v>
      </c>
      <c r="H153" s="6">
        <f t="shared" si="23"/>
        <v>5954.9</v>
      </c>
      <c r="I153" s="6">
        <f t="shared" si="22"/>
        <v>6665</v>
      </c>
    </row>
    <row r="154" spans="1:9" ht="19.5" thickBot="1">
      <c r="A154" s="14" t="s">
        <v>20</v>
      </c>
      <c r="B154" s="91">
        <f>B137+B145+B149+B150+B146+B153+B152+B147+B151+B148</f>
        <v>758243.8999999998</v>
      </c>
      <c r="C154" s="91">
        <f>C137+C145+C149+C150+C146+C153+C152+C147+C151+C148</f>
        <v>861086</v>
      </c>
      <c r="D154" s="91">
        <f>D137+D145+D149+D150+D146+D153+D152+D147+D151+D148</f>
        <v>560530.2100000001</v>
      </c>
      <c r="E154" s="25"/>
      <c r="F154" s="3">
        <f>D154/B154*100</f>
        <v>73.92478989939784</v>
      </c>
      <c r="G154" s="3">
        <f t="shared" si="21"/>
        <v>65.09572911416515</v>
      </c>
      <c r="H154" s="3">
        <f>B154-D154</f>
        <v>197713.6899999997</v>
      </c>
      <c r="I154" s="3">
        <f t="shared" si="22"/>
        <v>300555.7899999999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3" sqref="Q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493227.2100000001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T23" sqref="T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1" sqref="Q21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22" sqref="P22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493227.2100000001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2014-09-30T09:09:30Z</cp:lastPrinted>
  <dcterms:created xsi:type="dcterms:W3CDTF">2000-06-20T04:48:00Z</dcterms:created>
  <dcterms:modified xsi:type="dcterms:W3CDTF">2014-10-20T05:09:43Z</dcterms:modified>
  <cp:category/>
  <cp:version/>
  <cp:contentType/>
  <cp:contentStatus/>
</cp:coreProperties>
</file>